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hecklist" sheetId="1" r:id="rId1"/>
    <sheet name="Selection Guide" sheetId="2" r:id="rId2"/>
    <sheet name="Selection Guide Page 2" sheetId="3" r:id="rId3"/>
  </sheets>
  <definedNames/>
  <calcPr fullCalcOnLoad="1"/>
</workbook>
</file>

<file path=xl/sharedStrings.xml><?xml version="1.0" encoding="utf-8"?>
<sst xmlns="http://schemas.openxmlformats.org/spreadsheetml/2006/main" count="159" uniqueCount="119">
  <si>
    <t>Stock Checklist</t>
  </si>
  <si>
    <t>Company</t>
  </si>
  <si>
    <t>Prepared by</t>
  </si>
  <si>
    <t>Date</t>
  </si>
  <si>
    <t>Sales for the most recent year were</t>
  </si>
  <si>
    <t>Sales for the next most recent year were</t>
  </si>
  <si>
    <t>Total for the previous two years</t>
  </si>
  <si>
    <t>Average of sales for last two years</t>
  </si>
  <si>
    <t>Sales 5 years ago were</t>
  </si>
  <si>
    <t>Sales 6 years ago were</t>
  </si>
  <si>
    <t>Total for above</t>
  </si>
  <si>
    <t>Average for above</t>
  </si>
  <si>
    <t>Increase in sales in avove period (from line 8 to line 4)</t>
  </si>
  <si>
    <t>Percentage increase in sales</t>
  </si>
  <si>
    <t>Compounded rate of sales growth</t>
  </si>
  <si>
    <t>1. Past Sales Record</t>
  </si>
  <si>
    <t>2. Past Earnings per Share Record</t>
  </si>
  <si>
    <t>Earnings per share for most recent year were</t>
  </si>
  <si>
    <t>Earnings per share for next most recent year were</t>
  </si>
  <si>
    <t>Total for last two years</t>
  </si>
  <si>
    <t>Average for last two years</t>
  </si>
  <si>
    <t>Earnings per share 6 years ago were</t>
  </si>
  <si>
    <t>Earnings per share 5 years ago were</t>
  </si>
  <si>
    <t>Percentage increase in earnings per share</t>
  </si>
  <si>
    <t>Increase in earnings per share during last 5 years</t>
  </si>
  <si>
    <t>Hell House Investment Club</t>
  </si>
  <si>
    <t>(form taken from NAIC Stock Checklist)</t>
  </si>
  <si>
    <t>Stock Selection Guide Checklist</t>
  </si>
  <si>
    <t>(form taken from NAIC Stock Selection Guide)</t>
  </si>
  <si>
    <t>1. Visual Analysis</t>
  </si>
  <si>
    <t>Year</t>
  </si>
  <si>
    <t>Sales</t>
  </si>
  <si>
    <t>EPS</t>
  </si>
  <si>
    <t>High Price</t>
  </si>
  <si>
    <t>Low Price</t>
  </si>
  <si>
    <t>Stock Price per Share</t>
  </si>
  <si>
    <t>Reference</t>
  </si>
  <si>
    <t>log(sales)</t>
  </si>
  <si>
    <t>log(eps)</t>
  </si>
  <si>
    <t>2. Evaluating Management</t>
  </si>
  <si>
    <t>A. % Pre-tax Profit on Sales</t>
  </si>
  <si>
    <t>Net Income before taxes</t>
  </si>
  <si>
    <t>Earnings per Share</t>
  </si>
  <si>
    <t>Book Value</t>
  </si>
  <si>
    <t>B. % Earned on Equity</t>
  </si>
  <si>
    <t>Average last</t>
  </si>
  <si>
    <t>five years</t>
  </si>
  <si>
    <t>A. High Price -- Next 5 years</t>
  </si>
  <si>
    <t>4. Evaluating Risk and Reward over the next 5 years</t>
  </si>
  <si>
    <t>Average High P/E</t>
  </si>
  <si>
    <t>* Estimate High E/S</t>
  </si>
  <si>
    <t>=</t>
  </si>
  <si>
    <t>B. Low Price -- Next 5 years</t>
  </si>
  <si>
    <t>a.) Avg. Low P/E</t>
  </si>
  <si>
    <t>* Estimate Low E/S</t>
  </si>
  <si>
    <t>b.) Avg. Low Price Last 5 Years</t>
  </si>
  <si>
    <t>c.) Recent Severe Market Low Price</t>
  </si>
  <si>
    <t>d.) Price Dividend Will Support</t>
  </si>
  <si>
    <t>Present Dividend</t>
  </si>
  <si>
    <t>High Yield</t>
  </si>
  <si>
    <t>Selected Estimated Low Price:</t>
  </si>
  <si>
    <t>C. Zoning</t>
  </si>
  <si>
    <t>High Forecast Price Minus Low Forecast Price Equals the Range</t>
  </si>
  <si>
    <t>-</t>
  </si>
  <si>
    <t>One Third of Range :</t>
  </si>
  <si>
    <t>Lower 1/3 =</t>
  </si>
  <si>
    <t>to</t>
  </si>
  <si>
    <t>Upper 1/3 =</t>
  </si>
  <si>
    <t>Middle 1/3=</t>
  </si>
  <si>
    <t>(Buy)</t>
  </si>
  <si>
    <t>(Maybe)</t>
  </si>
  <si>
    <t>(Sell)</t>
  </si>
  <si>
    <t xml:space="preserve">Present Price of </t>
  </si>
  <si>
    <t>is in the</t>
  </si>
  <si>
    <t>range.</t>
  </si>
  <si>
    <t>D. Upside - Downside Ratio (Potential Gain vs. Risk of Loss)</t>
  </si>
  <si>
    <t>High Price - Low Price</t>
  </si>
  <si>
    <t>Present Price - Low Price</t>
  </si>
  <si>
    <t>to 1</t>
  </si>
  <si>
    <t>E. Price Target (Potential market price appreciation over the next five years in simple interest terms)</t>
  </si>
  <si>
    <t>Present Price</t>
  </si>
  <si>
    <t>==&gt;</t>
  </si>
  <si>
    <t>5. 5-year Potential (combination of price appreciation with dividend yield)</t>
  </si>
  <si>
    <t>A.</t>
  </si>
  <si>
    <t>Present Full Year's Dividend</t>
  </si>
  <si>
    <t>Present Price of Stock</t>
  </si>
  <si>
    <t xml:space="preserve">Present Yield </t>
  </si>
  <si>
    <t xml:space="preserve">or </t>
  </si>
  <si>
    <t>% Returned on Purchase Price</t>
  </si>
  <si>
    <t>B. Average yield over next 5 years</t>
  </si>
  <si>
    <t>Avg. Earnings Per Share Next 5 Years * Avg. % Payout</t>
  </si>
  <si>
    <t>*</t>
  </si>
  <si>
    <t>C. Estimated Average Annual Return over Next Five Years</t>
  </si>
  <si>
    <t>5 Year Appreciation Potential</t>
  </si>
  <si>
    <t>Average Yield…………………………………………..</t>
  </si>
  <si>
    <t>Average Total Annual Return over The Next 5 Years…</t>
  </si>
  <si>
    <t>3. Price-Earnings History as an indicator of the future</t>
  </si>
  <si>
    <t>Price</t>
  </si>
  <si>
    <t>High</t>
  </si>
  <si>
    <t>Low</t>
  </si>
  <si>
    <t>Earnings</t>
  </si>
  <si>
    <t>per Share</t>
  </si>
  <si>
    <t>Price Earnings Ratio</t>
  </si>
  <si>
    <t>Dividend</t>
  </si>
  <si>
    <t>% Payout</t>
  </si>
  <si>
    <t>% High</t>
  </si>
  <si>
    <t>Yield</t>
  </si>
  <si>
    <t>Total</t>
  </si>
  <si>
    <t>Average</t>
  </si>
  <si>
    <t>Average P/E Ratio</t>
  </si>
  <si>
    <t>Current P/E ratio</t>
  </si>
  <si>
    <t>Income Tax Rate</t>
  </si>
  <si>
    <t>Net Profit</t>
  </si>
  <si>
    <t>BUY</t>
  </si>
  <si>
    <t>Tim Park</t>
  </si>
  <si>
    <t>Pfizer Inc.</t>
  </si>
  <si>
    <r>
      <t xml:space="preserve">Earnings per share have increased </t>
    </r>
    <r>
      <rPr>
        <sz val="10"/>
        <rFont val="Arial"/>
        <family val="2"/>
      </rPr>
      <t>MORE/</t>
    </r>
    <r>
      <rPr>
        <b/>
        <sz val="10"/>
        <rFont val="Arial"/>
        <family val="2"/>
      </rPr>
      <t>LESS</t>
    </r>
    <r>
      <rPr>
        <sz val="10"/>
        <rFont val="Arial"/>
        <family val="0"/>
      </rPr>
      <t xml:space="preserve"> than sales in this period.</t>
    </r>
  </si>
  <si>
    <t>Recent Market Low</t>
  </si>
  <si>
    <t>Pfizer Inc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</si>
</sst>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0.00&quot;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00"/>
    <numFmt numFmtId="170" formatCode="0.00000"/>
    <numFmt numFmtId="171" formatCode="0.0"/>
    <numFmt numFmtId="172" formatCode="0.00000000000000%"/>
    <numFmt numFmtId="173" formatCode="_(&quot;$&quot;* #,##0.0_);_(&quot;$&quot;* \(#,##0.0\);_(&quot;$&quot;* &quot;0.00&quot;??_);_(@_)"/>
    <numFmt numFmtId="174" formatCode="_(&quot;$&quot;* #,##0_);_(&quot;$&quot;* \(#,##0\);_(&quot;$&quot;* &quot;0.00&quot;??_);_(@_)"/>
  </numFmts>
  <fonts count="5">
    <font>
      <sz val="10"/>
      <name val="Arial"/>
      <family val="0"/>
    </font>
    <font>
      <b/>
      <sz val="14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17" applyNumberFormat="1" applyAlignment="1">
      <alignment/>
    </xf>
    <xf numFmtId="165" fontId="0" fillId="0" borderId="0" xfId="19" applyNumberFormat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4" fontId="0" fillId="0" borderId="0" xfId="17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0" fillId="0" borderId="0" xfId="0" applyBorder="1" applyAlignment="1">
      <alignment/>
    </xf>
    <xf numFmtId="164" fontId="0" fillId="0" borderId="0" xfId="17" applyNumberForma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4" fontId="0" fillId="0" borderId="1" xfId="17" applyBorder="1" applyAlignment="1">
      <alignment/>
    </xf>
    <xf numFmtId="0" fontId="0" fillId="0" borderId="0" xfId="0" applyAlignment="1" quotePrefix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0" fillId="0" borderId="1" xfId="17" applyBorder="1" applyAlignment="1">
      <alignment horizontal="center"/>
    </xf>
    <xf numFmtId="44" fontId="0" fillId="0" borderId="1" xfId="17" applyBorder="1" applyAlignment="1">
      <alignment horizontal="center"/>
    </xf>
    <xf numFmtId="164" fontId="0" fillId="0" borderId="1" xfId="17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7" applyNumberFormat="1" applyFont="1" applyBorder="1" applyAlignment="1">
      <alignment horizontal="center"/>
    </xf>
    <xf numFmtId="165" fontId="0" fillId="0" borderId="0" xfId="19" applyNumberFormat="1" applyAlignment="1">
      <alignment/>
    </xf>
    <xf numFmtId="10" fontId="0" fillId="0" borderId="0" xfId="0" applyNumberFormat="1" applyAlignment="1">
      <alignment/>
    </xf>
    <xf numFmtId="4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12" xfId="17" applyBorder="1" applyAlignment="1">
      <alignment horizontal="center"/>
    </xf>
    <xf numFmtId="44" fontId="0" fillId="0" borderId="0" xfId="17" applyBorder="1" applyAlignment="1">
      <alignment horizontal="center"/>
    </xf>
    <xf numFmtId="44" fontId="0" fillId="0" borderId="13" xfId="17" applyBorder="1" applyAlignment="1">
      <alignment horizontal="center"/>
    </xf>
    <xf numFmtId="44" fontId="0" fillId="0" borderId="4" xfId="17" applyBorder="1" applyAlignment="1">
      <alignment horizontal="center"/>
    </xf>
    <xf numFmtId="17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65" fontId="0" fillId="0" borderId="0" xfId="19" applyNumberFormat="1" applyBorder="1" applyAlignment="1">
      <alignment horizontal="center"/>
    </xf>
    <xf numFmtId="165" fontId="0" fillId="0" borderId="14" xfId="19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0" borderId="2" xfId="19" applyNumberFormat="1" applyBorder="1" applyAlignment="1">
      <alignment horizontal="center"/>
    </xf>
    <xf numFmtId="14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0" xfId="0" applyNumberFormat="1" applyAlignment="1">
      <alignment/>
    </xf>
    <xf numFmtId="165" fontId="0" fillId="0" borderId="0" xfId="19" applyNumberFormat="1" applyAlignment="1">
      <alignment horizontal="center"/>
    </xf>
    <xf numFmtId="165" fontId="0" fillId="3" borderId="0" xfId="19" applyNumberFormat="1" applyFont="1" applyFill="1" applyAlignment="1">
      <alignment/>
    </xf>
    <xf numFmtId="165" fontId="0" fillId="3" borderId="0" xfId="19" applyNumberFormat="1" applyFill="1" applyAlignment="1">
      <alignment/>
    </xf>
    <xf numFmtId="171" fontId="0" fillId="0" borderId="1" xfId="0" applyNumberFormat="1" applyBorder="1" applyAlignment="1">
      <alignment horizontal="center"/>
    </xf>
    <xf numFmtId="39" fontId="0" fillId="0" borderId="10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44" fontId="0" fillId="0" borderId="6" xfId="17" applyFont="1" applyBorder="1" applyAlignment="1">
      <alignment horizontal="center"/>
    </xf>
    <xf numFmtId="167" fontId="0" fillId="0" borderId="0" xfId="17" applyNumberFormat="1" applyFont="1" applyAlignment="1">
      <alignment/>
    </xf>
    <xf numFmtId="165" fontId="0" fillId="0" borderId="0" xfId="19" applyNumberFormat="1" applyFont="1" applyAlignment="1">
      <alignment/>
    </xf>
    <xf numFmtId="44" fontId="0" fillId="0" borderId="0" xfId="17" applyFont="1" applyAlignment="1">
      <alignment/>
    </xf>
    <xf numFmtId="167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0" fontId="4" fillId="0" borderId="1" xfId="0" applyFont="1" applyBorder="1" applyAlignment="1">
      <alignment horizontal="center"/>
    </xf>
    <xf numFmtId="174" fontId="0" fillId="0" borderId="0" xfId="17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1" xfId="17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7" applyNumberFormat="1" applyFont="1" applyBorder="1" applyAlignment="1">
      <alignment horizontal="center"/>
    </xf>
    <xf numFmtId="164" fontId="0" fillId="0" borderId="12" xfId="17" applyNumberFormat="1" applyFont="1" applyBorder="1" applyAlignment="1">
      <alignment horizontal="center"/>
    </xf>
    <xf numFmtId="164" fontId="0" fillId="0" borderId="12" xfId="17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'Selection Guide'!$K$6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Guide'!$K$7:$K$23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'Selection Guide'!$L$6</c:f>
              <c:strCache>
                <c:ptCount val="1"/>
                <c:pt idx="0">
                  <c:v>10%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Guide'!$L$7:$L$23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'Selection Guide'!$M$6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Guide'!$M$7:$M$23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'Selection Guide'!$N$6</c:f>
              <c:strCache>
                <c:ptCount val="1"/>
                <c:pt idx="0">
                  <c:v>20%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Guide'!$N$7:$N$23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'Selection Guide'!$O$6</c:f>
              <c:strCache>
                <c:ptCount val="1"/>
                <c:pt idx="0">
                  <c:v>25%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Guide'!$O$7:$O$23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'Selection Guide'!$P$6</c:f>
              <c:strCache>
                <c:ptCount val="1"/>
                <c:pt idx="0">
                  <c:v>30%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Guide'!$P$7:$P$23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'Selection Guide'!$B$6</c:f>
              <c:strCache>
                <c:ptCount val="1"/>
                <c:pt idx="0">
                  <c:v>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Guide'!$B$7:$B$23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'Selection Guide'!$C$6</c:f>
              <c:strCache>
                <c:ptCount val="1"/>
                <c:pt idx="0">
                  <c:v>EPS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'Selection Guide'!$A$7:$A$23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'Selection Guide'!$C$7:$C$23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063728"/>
        <c:crosses val="autoZero"/>
        <c:auto val="1"/>
        <c:lblOffset val="100"/>
        <c:tickMarkSkip val="2"/>
        <c:noMultiLvlLbl val="0"/>
      </c:catAx>
      <c:valAx>
        <c:axId val="570637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34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25</xdr:row>
      <xdr:rowOff>76200</xdr:rowOff>
    </xdr:from>
    <xdr:to>
      <xdr:col>12</xdr:col>
      <xdr:colOff>180975</xdr:colOff>
      <xdr:row>47</xdr:row>
      <xdr:rowOff>104775</xdr:rowOff>
    </xdr:to>
    <xdr:graphicFrame>
      <xdr:nvGraphicFramePr>
        <xdr:cNvPr id="1" name="Chart 2"/>
        <xdr:cNvGraphicFramePr/>
      </xdr:nvGraphicFramePr>
      <xdr:xfrm>
        <a:off x="3476625" y="4191000"/>
        <a:ext cx="4095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A37" sqref="A37"/>
    </sheetView>
  </sheetViews>
  <sheetFormatPr defaultColWidth="9.140625" defaultRowHeight="12.75"/>
  <cols>
    <col min="3" max="3" width="26.7109375" style="0" customWidth="1"/>
    <col min="4" max="4" width="4.421875" style="0" customWidth="1"/>
    <col min="5" max="5" width="17.7109375" style="0" bestFit="1" customWidth="1"/>
    <col min="6" max="6" width="18.57421875" style="0" customWidth="1"/>
  </cols>
  <sheetData>
    <row r="1" spans="1:5" ht="18">
      <c r="A1" s="6" t="s">
        <v>0</v>
      </c>
      <c r="D1" s="5" t="s">
        <v>1</v>
      </c>
      <c r="E1" t="s">
        <v>115</v>
      </c>
    </row>
    <row r="2" spans="1:5" ht="12.75">
      <c r="A2" t="s">
        <v>25</v>
      </c>
      <c r="D2" s="5" t="s">
        <v>2</v>
      </c>
      <c r="E2" t="s">
        <v>114</v>
      </c>
    </row>
    <row r="3" spans="1:5" ht="12.75">
      <c r="A3" t="s">
        <v>26</v>
      </c>
      <c r="D3" s="5" t="s">
        <v>3</v>
      </c>
      <c r="E3" s="61">
        <v>37274</v>
      </c>
    </row>
    <row r="5" ht="12.75">
      <c r="A5" t="s">
        <v>15</v>
      </c>
    </row>
    <row r="7" spans="1:5" ht="12.75">
      <c r="A7" t="s">
        <v>4</v>
      </c>
      <c r="D7">
        <v>1</v>
      </c>
      <c r="E7" s="77">
        <v>35155000000</v>
      </c>
    </row>
    <row r="8" spans="1:5" ht="12.75">
      <c r="A8" t="s">
        <v>5</v>
      </c>
      <c r="D8">
        <v>2</v>
      </c>
      <c r="E8" s="77">
        <v>32259000000</v>
      </c>
    </row>
    <row r="9" spans="2:5" ht="12.75">
      <c r="B9" t="s">
        <v>6</v>
      </c>
      <c r="D9">
        <v>3</v>
      </c>
      <c r="E9" s="77">
        <f>E8+E7</f>
        <v>67414000000</v>
      </c>
    </row>
    <row r="10" spans="2:6" ht="12.75">
      <c r="B10" t="s">
        <v>7</v>
      </c>
      <c r="D10">
        <v>4</v>
      </c>
      <c r="F10" s="1">
        <f>E9/2</f>
        <v>33707000000</v>
      </c>
    </row>
    <row r="11" spans="1:5" ht="12.75">
      <c r="A11" t="s">
        <v>8</v>
      </c>
      <c r="D11">
        <v>5</v>
      </c>
      <c r="E11" s="77">
        <v>13544000000</v>
      </c>
    </row>
    <row r="12" spans="1:5" ht="12.75">
      <c r="A12" t="s">
        <v>9</v>
      </c>
      <c r="D12">
        <v>6</v>
      </c>
      <c r="E12" s="77">
        <v>12504000000</v>
      </c>
    </row>
    <row r="13" spans="2:5" ht="12.75">
      <c r="B13" t="s">
        <v>10</v>
      </c>
      <c r="D13">
        <v>7</v>
      </c>
      <c r="E13" s="77">
        <f>E12+E11</f>
        <v>26048000000</v>
      </c>
    </row>
    <row r="14" spans="2:6" ht="12.75">
      <c r="B14" t="s">
        <v>11</v>
      </c>
      <c r="D14">
        <v>8</v>
      </c>
      <c r="F14" s="1">
        <f>E13/2</f>
        <v>13024000000</v>
      </c>
    </row>
    <row r="15" spans="1:6" ht="12.75">
      <c r="A15" t="s">
        <v>12</v>
      </c>
      <c r="D15">
        <v>9</v>
      </c>
      <c r="F15" s="1">
        <f>F10-F14</f>
        <v>20683000000</v>
      </c>
    </row>
    <row r="16" spans="1:6" ht="12.75">
      <c r="A16" t="s">
        <v>13</v>
      </c>
      <c r="D16">
        <v>10</v>
      </c>
      <c r="F16" s="2">
        <f>F15/F14</f>
        <v>1.5880681818181819</v>
      </c>
    </row>
    <row r="18" spans="3:6" ht="12.75">
      <c r="C18" t="s">
        <v>14</v>
      </c>
      <c r="F18" s="3">
        <f>(F16+1)^(1/5)-1</f>
        <v>0.2094701175724749</v>
      </c>
    </row>
    <row r="20" spans="1:7" ht="12.75">
      <c r="A20" s="4"/>
      <c r="B20" s="4"/>
      <c r="C20" s="4"/>
      <c r="D20" s="4"/>
      <c r="E20" s="4"/>
      <c r="F20" s="4"/>
      <c r="G20" s="4"/>
    </row>
    <row r="21" ht="12.75">
      <c r="A21" t="s">
        <v>16</v>
      </c>
    </row>
    <row r="23" spans="1:5" ht="12.75">
      <c r="A23" t="s">
        <v>17</v>
      </c>
      <c r="D23">
        <v>1</v>
      </c>
      <c r="E23" s="1">
        <v>1.58</v>
      </c>
    </row>
    <row r="24" spans="1:5" ht="12.75">
      <c r="A24" t="s">
        <v>18</v>
      </c>
      <c r="D24">
        <v>2</v>
      </c>
      <c r="E24" s="1">
        <v>1.31</v>
      </c>
    </row>
    <row r="25" spans="2:5" ht="12.75">
      <c r="B25" t="s">
        <v>19</v>
      </c>
      <c r="D25">
        <v>3</v>
      </c>
      <c r="E25" s="1">
        <f>SUM(E23:E24)</f>
        <v>2.89</v>
      </c>
    </row>
    <row r="26" spans="2:6" ht="12.75">
      <c r="B26" t="s">
        <v>20</v>
      </c>
      <c r="D26">
        <v>4</v>
      </c>
      <c r="F26" s="1">
        <f>E25/2</f>
        <v>1.445</v>
      </c>
    </row>
    <row r="27" spans="1:5" ht="12.75">
      <c r="A27" t="s">
        <v>22</v>
      </c>
      <c r="D27">
        <v>5</v>
      </c>
      <c r="E27" s="1">
        <v>0.67</v>
      </c>
    </row>
    <row r="28" spans="1:5" ht="12.75">
      <c r="A28" t="s">
        <v>21</v>
      </c>
      <c r="D28">
        <v>6</v>
      </c>
      <c r="E28" s="1">
        <v>0.57</v>
      </c>
    </row>
    <row r="29" spans="2:5" ht="12.75">
      <c r="B29" t="s">
        <v>10</v>
      </c>
      <c r="D29">
        <v>7</v>
      </c>
      <c r="E29" s="1">
        <f>SUM(E27:E28)</f>
        <v>1.24</v>
      </c>
    </row>
    <row r="30" spans="2:6" ht="12.75">
      <c r="B30" t="s">
        <v>11</v>
      </c>
      <c r="D30">
        <v>8</v>
      </c>
      <c r="E30" s="1"/>
      <c r="F30" s="1">
        <f>E29/2</f>
        <v>0.62</v>
      </c>
    </row>
    <row r="31" spans="1:6" ht="12.75">
      <c r="A31" t="s">
        <v>24</v>
      </c>
      <c r="D31">
        <v>9</v>
      </c>
      <c r="E31" s="1"/>
      <c r="F31" s="1">
        <f>F26-F30</f>
        <v>0.8250000000000001</v>
      </c>
    </row>
    <row r="32" spans="1:6" ht="12.75">
      <c r="A32" t="s">
        <v>23</v>
      </c>
      <c r="D32">
        <v>10</v>
      </c>
      <c r="E32" s="1"/>
      <c r="F32" s="2">
        <f>F31/F30</f>
        <v>1.3306451612903227</v>
      </c>
    </row>
    <row r="33" ht="12.75">
      <c r="E33" s="1"/>
    </row>
    <row r="34" spans="3:6" ht="12.75">
      <c r="C34" t="s">
        <v>14</v>
      </c>
      <c r="E34" s="1"/>
      <c r="F34" s="3">
        <f>(F32+1)^(1/5)-1</f>
        <v>0.1843913625057152</v>
      </c>
    </row>
    <row r="35" ht="12.75">
      <c r="E35" s="1"/>
    </row>
    <row r="36" spans="1:6" ht="12.75">
      <c r="A36" s="80" t="s">
        <v>116</v>
      </c>
      <c r="B36" s="81"/>
      <c r="C36" s="81"/>
      <c r="D36" s="81"/>
      <c r="E36" s="81"/>
      <c r="F36" s="82"/>
    </row>
    <row r="37" ht="12.75">
      <c r="E37" s="1"/>
    </row>
  </sheetData>
  <mergeCells count="1">
    <mergeCell ref="A36:F36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">
      <selection activeCell="H4" sqref="H4"/>
    </sheetView>
  </sheetViews>
  <sheetFormatPr defaultColWidth="9.140625" defaultRowHeight="12.75"/>
  <cols>
    <col min="3" max="3" width="10.28125" style="0" bestFit="1" customWidth="1"/>
  </cols>
  <sheetData>
    <row r="1" spans="1:8" ht="18">
      <c r="A1" s="6" t="s">
        <v>27</v>
      </c>
      <c r="G1" s="5" t="s">
        <v>1</v>
      </c>
      <c r="H1" t="s">
        <v>115</v>
      </c>
    </row>
    <row r="2" spans="1:8" ht="12.75">
      <c r="A2" t="s">
        <v>25</v>
      </c>
      <c r="G2" s="5" t="s">
        <v>2</v>
      </c>
      <c r="H2" t="s">
        <v>114</v>
      </c>
    </row>
    <row r="3" spans="1:8" ht="12.75">
      <c r="A3" t="s">
        <v>28</v>
      </c>
      <c r="G3" s="5" t="s">
        <v>3</v>
      </c>
      <c r="H3" s="61">
        <v>37274</v>
      </c>
    </row>
    <row r="5" spans="1:11" ht="12.75">
      <c r="A5" t="s">
        <v>29</v>
      </c>
      <c r="D5" s="83" t="s">
        <v>35</v>
      </c>
      <c r="E5" s="83"/>
      <c r="K5" t="s">
        <v>36</v>
      </c>
    </row>
    <row r="6" spans="1:16" ht="12.75">
      <c r="A6" t="s">
        <v>30</v>
      </c>
      <c r="B6" t="s">
        <v>31</v>
      </c>
      <c r="C6" t="s">
        <v>32</v>
      </c>
      <c r="D6" t="s">
        <v>33</v>
      </c>
      <c r="E6" t="s">
        <v>34</v>
      </c>
      <c r="G6" t="s">
        <v>37</v>
      </c>
      <c r="H6" t="s">
        <v>38</v>
      </c>
      <c r="K6" s="8">
        <v>0.05</v>
      </c>
      <c r="L6" s="8">
        <v>0.1</v>
      </c>
      <c r="M6" s="8">
        <v>0.15</v>
      </c>
      <c r="N6" s="8">
        <v>0.2</v>
      </c>
      <c r="O6" s="8">
        <v>0.25</v>
      </c>
      <c r="P6" s="8">
        <v>0.3</v>
      </c>
    </row>
    <row r="7" spans="1:16" ht="12.75">
      <c r="A7">
        <v>1986</v>
      </c>
      <c r="B7" s="12">
        <v>1.13</v>
      </c>
      <c r="C7" s="1">
        <v>0.16</v>
      </c>
      <c r="D7" s="7"/>
      <c r="E7" s="7"/>
      <c r="G7" s="9"/>
      <c r="H7" s="9"/>
      <c r="K7" s="9">
        <v>1</v>
      </c>
      <c r="L7">
        <v>1</v>
      </c>
      <c r="M7">
        <v>1</v>
      </c>
      <c r="N7">
        <v>1</v>
      </c>
      <c r="O7">
        <v>1</v>
      </c>
      <c r="P7">
        <v>1</v>
      </c>
    </row>
    <row r="8" spans="1:16" ht="12.75">
      <c r="A8">
        <v>1987</v>
      </c>
      <c r="B8" s="12">
        <v>1.25</v>
      </c>
      <c r="C8" s="1">
        <v>0.17</v>
      </c>
      <c r="D8" s="7"/>
      <c r="E8" s="7"/>
      <c r="G8" s="9"/>
      <c r="H8" s="9"/>
      <c r="K8" s="9">
        <f aca="true" t="shared" si="0" ref="K8:K22">K7*(K$6+1)</f>
        <v>1.05</v>
      </c>
      <c r="L8" s="9">
        <f aca="true" t="shared" si="1" ref="L8:L22">L7*(L$6+1)</f>
        <v>1.1</v>
      </c>
      <c r="M8" s="9">
        <f aca="true" t="shared" si="2" ref="M8:M22">M7*(M$6+1)</f>
        <v>1.15</v>
      </c>
      <c r="N8" s="9">
        <f aca="true" t="shared" si="3" ref="N8:N22">N7*(N$6+1)</f>
        <v>1.2</v>
      </c>
      <c r="O8" s="9">
        <f aca="true" t="shared" si="4" ref="O8:O22">O7*(O$6+1)</f>
        <v>1.25</v>
      </c>
      <c r="P8" s="9">
        <f aca="true" t="shared" si="5" ref="P8:P22">P7*(P$6+1)</f>
        <v>1.3</v>
      </c>
    </row>
    <row r="9" spans="1:16" ht="12.75">
      <c r="A9">
        <v>1988</v>
      </c>
      <c r="B9" s="12">
        <v>1.36</v>
      </c>
      <c r="C9" s="1">
        <v>0.18</v>
      </c>
      <c r="D9" s="7"/>
      <c r="E9" s="7"/>
      <c r="G9" s="9"/>
      <c r="H9" s="9"/>
      <c r="K9" s="9">
        <f t="shared" si="0"/>
        <v>1.1025</v>
      </c>
      <c r="L9" s="9">
        <f t="shared" si="1"/>
        <v>1.2100000000000002</v>
      </c>
      <c r="M9" s="9">
        <f t="shared" si="2"/>
        <v>1.3224999999999998</v>
      </c>
      <c r="N9" s="9">
        <f t="shared" si="3"/>
        <v>1.44</v>
      </c>
      <c r="O9" s="9">
        <f t="shared" si="4"/>
        <v>1.5625</v>
      </c>
      <c r="P9" s="9">
        <f t="shared" si="5"/>
        <v>1.6900000000000002</v>
      </c>
    </row>
    <row r="10" spans="1:16" ht="12.75">
      <c r="A10">
        <v>1989</v>
      </c>
      <c r="B10" s="12">
        <v>1.43</v>
      </c>
      <c r="C10" s="1">
        <v>0.2</v>
      </c>
      <c r="D10" s="7"/>
      <c r="E10" s="7"/>
      <c r="G10" s="9"/>
      <c r="H10" s="9"/>
      <c r="K10" s="9">
        <f t="shared" si="0"/>
        <v>1.1576250000000001</v>
      </c>
      <c r="L10" s="9">
        <f t="shared" si="1"/>
        <v>1.3310000000000004</v>
      </c>
      <c r="M10" s="9">
        <f t="shared" si="2"/>
        <v>1.5208749999999995</v>
      </c>
      <c r="N10" s="9">
        <f t="shared" si="3"/>
        <v>1.728</v>
      </c>
      <c r="O10" s="9">
        <f t="shared" si="4"/>
        <v>1.953125</v>
      </c>
      <c r="P10" s="9">
        <f t="shared" si="5"/>
        <v>2.1970000000000005</v>
      </c>
    </row>
    <row r="11" spans="1:16" ht="12.75">
      <c r="A11">
        <v>1990</v>
      </c>
      <c r="B11" s="12">
        <v>1.62</v>
      </c>
      <c r="C11" s="1">
        <v>0.18</v>
      </c>
      <c r="D11" s="7"/>
      <c r="E11" s="7"/>
      <c r="G11" s="9"/>
      <c r="H11" s="9"/>
      <c r="K11" s="9">
        <f t="shared" si="0"/>
        <v>1.2155062500000002</v>
      </c>
      <c r="L11" s="9">
        <f t="shared" si="1"/>
        <v>1.4641000000000006</v>
      </c>
      <c r="M11" s="9">
        <f t="shared" si="2"/>
        <v>1.7490062499999994</v>
      </c>
      <c r="N11" s="9">
        <f t="shared" si="3"/>
        <v>2.0736</v>
      </c>
      <c r="O11" s="9">
        <f t="shared" si="4"/>
        <v>2.44140625</v>
      </c>
      <c r="P11" s="9">
        <f t="shared" si="5"/>
        <v>2.856100000000001</v>
      </c>
    </row>
    <row r="12" spans="1:16" ht="12.75">
      <c r="A12">
        <v>1991</v>
      </c>
      <c r="B12" s="12">
        <v>1.76</v>
      </c>
      <c r="C12" s="1">
        <v>0.2</v>
      </c>
      <c r="D12" s="7">
        <v>7.2</v>
      </c>
      <c r="E12" s="7">
        <v>3.1</v>
      </c>
      <c r="G12" s="9"/>
      <c r="H12" s="9"/>
      <c r="K12" s="9">
        <f t="shared" si="0"/>
        <v>1.2762815625000004</v>
      </c>
      <c r="L12" s="9">
        <f t="shared" si="1"/>
        <v>1.6105100000000008</v>
      </c>
      <c r="M12" s="9">
        <f t="shared" si="2"/>
        <v>2.0113571874999994</v>
      </c>
      <c r="N12" s="9">
        <f t="shared" si="3"/>
        <v>2.48832</v>
      </c>
      <c r="O12" s="9">
        <f t="shared" si="4"/>
        <v>3.0517578125</v>
      </c>
      <c r="P12" s="9">
        <f t="shared" si="5"/>
        <v>3.7129300000000014</v>
      </c>
    </row>
    <row r="13" spans="1:16" ht="12.75">
      <c r="A13">
        <v>1992</v>
      </c>
      <c r="B13" s="12">
        <v>1.85</v>
      </c>
      <c r="C13" s="1">
        <v>0.23</v>
      </c>
      <c r="D13" s="7">
        <v>7.3</v>
      </c>
      <c r="E13" s="7">
        <v>5.4</v>
      </c>
      <c r="G13" s="9"/>
      <c r="H13" s="9"/>
      <c r="K13" s="9">
        <f t="shared" si="0"/>
        <v>1.3400956406250004</v>
      </c>
      <c r="L13" s="9">
        <f t="shared" si="1"/>
        <v>1.771561000000001</v>
      </c>
      <c r="M13" s="9">
        <f t="shared" si="2"/>
        <v>2.313060765624999</v>
      </c>
      <c r="N13" s="9">
        <f t="shared" si="3"/>
        <v>2.9859839999999997</v>
      </c>
      <c r="O13" s="9">
        <f t="shared" si="4"/>
        <v>3.814697265625</v>
      </c>
      <c r="P13" s="9">
        <f t="shared" si="5"/>
        <v>4.826809000000002</v>
      </c>
    </row>
    <row r="14" spans="1:16" ht="12.75">
      <c r="A14">
        <v>1993</v>
      </c>
      <c r="B14" s="12">
        <v>1.94</v>
      </c>
      <c r="C14" s="1">
        <v>0.27</v>
      </c>
      <c r="D14" s="7">
        <v>6.3</v>
      </c>
      <c r="E14" s="7">
        <v>4.4</v>
      </c>
      <c r="G14" s="9"/>
      <c r="H14" s="9"/>
      <c r="K14" s="9">
        <f t="shared" si="0"/>
        <v>1.4071004226562505</v>
      </c>
      <c r="L14" s="9">
        <f t="shared" si="1"/>
        <v>1.9487171000000014</v>
      </c>
      <c r="M14" s="9">
        <f t="shared" si="2"/>
        <v>2.6600198804687487</v>
      </c>
      <c r="N14" s="9">
        <f t="shared" si="3"/>
        <v>3.5831807999999996</v>
      </c>
      <c r="O14" s="9">
        <f t="shared" si="4"/>
        <v>4.76837158203125</v>
      </c>
      <c r="P14" s="9">
        <f t="shared" si="5"/>
        <v>6.274851700000003</v>
      </c>
    </row>
    <row r="15" spans="1:16" ht="12.75">
      <c r="A15">
        <v>1994</v>
      </c>
      <c r="B15" s="12">
        <v>2.2</v>
      </c>
      <c r="C15" s="1">
        <v>0.31</v>
      </c>
      <c r="D15" s="7">
        <v>6.6</v>
      </c>
      <c r="E15" s="7">
        <v>4.4</v>
      </c>
      <c r="G15" s="9"/>
      <c r="H15" s="9"/>
      <c r="K15" s="9">
        <f t="shared" si="0"/>
        <v>1.477455443789063</v>
      </c>
      <c r="L15" s="9">
        <f t="shared" si="1"/>
        <v>2.1435888100000016</v>
      </c>
      <c r="M15" s="9">
        <f t="shared" si="2"/>
        <v>3.0590228625390607</v>
      </c>
      <c r="N15" s="9">
        <f t="shared" si="3"/>
        <v>4.299816959999999</v>
      </c>
      <c r="O15" s="9">
        <f t="shared" si="4"/>
        <v>5.9604644775390625</v>
      </c>
      <c r="P15" s="9">
        <f t="shared" si="5"/>
        <v>8.157307210000004</v>
      </c>
    </row>
    <row r="16" spans="1:16" ht="12.75">
      <c r="A16">
        <v>1995</v>
      </c>
      <c r="B16" s="12">
        <v>2.62</v>
      </c>
      <c r="C16" s="1">
        <v>0.35</v>
      </c>
      <c r="D16" s="7">
        <v>11.1</v>
      </c>
      <c r="E16" s="7">
        <v>6.2</v>
      </c>
      <c r="G16" s="9"/>
      <c r="H16" s="9"/>
      <c r="K16" s="9">
        <f t="shared" si="0"/>
        <v>1.5513282159785162</v>
      </c>
      <c r="L16" s="9">
        <f t="shared" si="1"/>
        <v>2.357947691000002</v>
      </c>
      <c r="M16" s="9">
        <f t="shared" si="2"/>
        <v>3.5178762919199196</v>
      </c>
      <c r="N16" s="9">
        <f t="shared" si="3"/>
        <v>5.159780351999999</v>
      </c>
      <c r="O16" s="9">
        <f t="shared" si="4"/>
        <v>7.450580596923828</v>
      </c>
      <c r="P16" s="9">
        <f t="shared" si="5"/>
        <v>10.604499373000007</v>
      </c>
    </row>
    <row r="17" spans="1:16" ht="12.75">
      <c r="A17">
        <v>1996</v>
      </c>
      <c r="B17" s="12">
        <v>2.92</v>
      </c>
      <c r="C17" s="1">
        <v>0.41</v>
      </c>
      <c r="D17" s="7">
        <v>15.2</v>
      </c>
      <c r="E17" s="7">
        <v>10</v>
      </c>
      <c r="G17" s="9">
        <f aca="true" t="shared" si="6" ref="G17:H22">LOG(B17)</f>
        <v>0.4653828514484183</v>
      </c>
      <c r="H17" s="9">
        <f t="shared" si="6"/>
        <v>-0.38721614328026455</v>
      </c>
      <c r="K17" s="9">
        <f t="shared" si="0"/>
        <v>1.628894626777442</v>
      </c>
      <c r="L17" s="9">
        <f t="shared" si="1"/>
        <v>2.5937424601000023</v>
      </c>
      <c r="M17" s="9">
        <f t="shared" si="2"/>
        <v>4.0455577357079076</v>
      </c>
      <c r="N17" s="9">
        <f t="shared" si="3"/>
        <v>6.191736422399999</v>
      </c>
      <c r="O17" s="9">
        <f t="shared" si="4"/>
        <v>9.313225746154785</v>
      </c>
      <c r="P17" s="9">
        <f t="shared" si="5"/>
        <v>13.785849184900009</v>
      </c>
    </row>
    <row r="18" spans="1:16" ht="12.75">
      <c r="A18">
        <v>1997</v>
      </c>
      <c r="B18" s="12">
        <v>3.22</v>
      </c>
      <c r="C18" s="1">
        <v>0.5</v>
      </c>
      <c r="D18" s="7">
        <v>26.7</v>
      </c>
      <c r="E18" s="7">
        <v>13.4</v>
      </c>
      <c r="G18" s="9">
        <f t="shared" si="6"/>
        <v>0.5078558716958309</v>
      </c>
      <c r="H18" s="9">
        <f t="shared" si="6"/>
        <v>-0.3010299956639812</v>
      </c>
      <c r="K18" s="9">
        <f t="shared" si="0"/>
        <v>1.7103393581163142</v>
      </c>
      <c r="L18" s="9">
        <f t="shared" si="1"/>
        <v>2.853116706110003</v>
      </c>
      <c r="M18" s="9">
        <f t="shared" si="2"/>
        <v>4.652391396064093</v>
      </c>
      <c r="N18" s="9">
        <f t="shared" si="3"/>
        <v>7.430083706879999</v>
      </c>
      <c r="O18" s="9">
        <f t="shared" si="4"/>
        <v>11.641532182693481</v>
      </c>
      <c r="P18" s="9">
        <f t="shared" si="5"/>
        <v>17.921603940370012</v>
      </c>
    </row>
    <row r="19" spans="1:16" ht="12.75">
      <c r="A19">
        <v>1998</v>
      </c>
      <c r="B19" s="12">
        <v>3.49</v>
      </c>
      <c r="C19" s="1">
        <v>0.57</v>
      </c>
      <c r="D19" s="7">
        <v>43</v>
      </c>
      <c r="E19" s="7">
        <v>23.7</v>
      </c>
      <c r="G19" s="9">
        <f t="shared" si="6"/>
        <v>0.5428254269591799</v>
      </c>
      <c r="H19" s="9">
        <f t="shared" si="6"/>
        <v>-0.24412514432750865</v>
      </c>
      <c r="K19" s="9">
        <f t="shared" si="0"/>
        <v>1.79585632602213</v>
      </c>
      <c r="L19" s="9">
        <f t="shared" si="1"/>
        <v>3.1384283767210035</v>
      </c>
      <c r="M19" s="9">
        <f t="shared" si="2"/>
        <v>5.350250105473707</v>
      </c>
      <c r="N19" s="9">
        <f t="shared" si="3"/>
        <v>8.916100448255998</v>
      </c>
      <c r="O19" s="9">
        <f t="shared" si="4"/>
        <v>14.551915228366852</v>
      </c>
      <c r="P19" s="9">
        <f t="shared" si="5"/>
        <v>23.298085122481016</v>
      </c>
    </row>
    <row r="20" spans="1:16" ht="12.75">
      <c r="A20">
        <v>1999</v>
      </c>
      <c r="B20" s="12">
        <v>4.21</v>
      </c>
      <c r="C20" s="1">
        <v>0.67</v>
      </c>
      <c r="D20" s="7">
        <v>50</v>
      </c>
      <c r="E20" s="7">
        <v>31.5</v>
      </c>
      <c r="G20" s="9">
        <f t="shared" si="6"/>
        <v>0.6242820958356683</v>
      </c>
      <c r="H20" s="9">
        <f t="shared" si="6"/>
        <v>-0.17392519729917355</v>
      </c>
      <c r="K20" s="9">
        <f t="shared" si="0"/>
        <v>1.8856491423232367</v>
      </c>
      <c r="L20" s="9">
        <f t="shared" si="1"/>
        <v>3.4522712143931042</v>
      </c>
      <c r="M20" s="9">
        <f t="shared" si="2"/>
        <v>6.152787621294762</v>
      </c>
      <c r="N20" s="9">
        <f t="shared" si="3"/>
        <v>10.699320537907196</v>
      </c>
      <c r="O20" s="9">
        <f t="shared" si="4"/>
        <v>18.189894035458565</v>
      </c>
      <c r="P20" s="9">
        <f t="shared" si="5"/>
        <v>30.287510659225322</v>
      </c>
    </row>
    <row r="21" spans="1:16" ht="12.75">
      <c r="A21">
        <v>2000</v>
      </c>
      <c r="B21" s="12">
        <v>4.68</v>
      </c>
      <c r="C21" s="1">
        <v>0.87</v>
      </c>
      <c r="D21" s="7">
        <v>49.3</v>
      </c>
      <c r="E21" s="7">
        <v>30</v>
      </c>
      <c r="G21" s="9">
        <f t="shared" si="6"/>
        <v>0.670245853074124</v>
      </c>
      <c r="H21" s="9">
        <f t="shared" si="6"/>
        <v>-0.060480747381381476</v>
      </c>
      <c r="K21" s="9">
        <f t="shared" si="0"/>
        <v>1.9799315994393987</v>
      </c>
      <c r="L21" s="9">
        <f t="shared" si="1"/>
        <v>3.797498335832415</v>
      </c>
      <c r="M21" s="9">
        <f t="shared" si="2"/>
        <v>7.075705764488976</v>
      </c>
      <c r="N21" s="9">
        <f t="shared" si="3"/>
        <v>12.839184645488634</v>
      </c>
      <c r="O21" s="9">
        <f t="shared" si="4"/>
        <v>22.737367544323206</v>
      </c>
      <c r="P21" s="9">
        <f t="shared" si="5"/>
        <v>39.37376385699292</v>
      </c>
    </row>
    <row r="22" spans="1:16" ht="12.75">
      <c r="A22">
        <v>2001</v>
      </c>
      <c r="B22" s="12">
        <v>5.14</v>
      </c>
      <c r="C22" s="1">
        <v>1.02</v>
      </c>
      <c r="D22" s="7">
        <v>46.8</v>
      </c>
      <c r="E22" s="7">
        <v>34</v>
      </c>
      <c r="G22" s="9">
        <f t="shared" si="6"/>
        <v>0.7109631189952758</v>
      </c>
      <c r="H22" s="9">
        <f t="shared" si="6"/>
        <v>0.00860017176191757</v>
      </c>
      <c r="K22" s="9">
        <f t="shared" si="0"/>
        <v>2.0789281794113688</v>
      </c>
      <c r="L22" s="9">
        <f t="shared" si="1"/>
        <v>4.177248169415656</v>
      </c>
      <c r="M22" s="9">
        <f t="shared" si="2"/>
        <v>8.137061629162321</v>
      </c>
      <c r="N22" s="9">
        <f t="shared" si="3"/>
        <v>15.407021574586361</v>
      </c>
      <c r="O22" s="9">
        <f t="shared" si="4"/>
        <v>28.421709430404007</v>
      </c>
      <c r="P22" s="9">
        <f t="shared" si="5"/>
        <v>51.1858930140908</v>
      </c>
    </row>
    <row r="23" spans="1:16" ht="12.75">
      <c r="A23">
        <v>2002</v>
      </c>
      <c r="B23" s="12">
        <v>5.75</v>
      </c>
      <c r="C23" s="1">
        <v>1.31</v>
      </c>
      <c r="D23" s="7">
        <v>42.5</v>
      </c>
      <c r="E23" s="7">
        <v>25.1</v>
      </c>
      <c r="G23" s="9">
        <f>LOG(B23)</f>
        <v>0.7596678446896304</v>
      </c>
      <c r="H23" s="9">
        <f>LOG(C23)</f>
        <v>0.11727129565576427</v>
      </c>
      <c r="K23" s="9">
        <f aca="true" t="shared" si="7" ref="K23:P23">K22*(K$6+1)</f>
        <v>2.1828745883819374</v>
      </c>
      <c r="L23" s="9">
        <f t="shared" si="7"/>
        <v>4.594972986357222</v>
      </c>
      <c r="M23" s="9">
        <f t="shared" si="7"/>
        <v>9.35762087353667</v>
      </c>
      <c r="N23" s="9">
        <f t="shared" si="7"/>
        <v>18.48842588950363</v>
      </c>
      <c r="O23" s="9">
        <f t="shared" si="7"/>
        <v>35.52713678800501</v>
      </c>
      <c r="P23" s="9">
        <f t="shared" si="7"/>
        <v>66.54166091831804</v>
      </c>
    </row>
    <row r="24" ht="12.75">
      <c r="C24" s="1"/>
    </row>
    <row r="25" spans="1:4" ht="12.75">
      <c r="A25">
        <f>SLOPE(LOG(B18:B23),A18:A23)</f>
        <v>0.05169819138037773</v>
      </c>
      <c r="B25">
        <f>INDEX(LINEST(LOG(B18:B23),A17:A22,TRUE,TRUE),1)</f>
        <v>0.05169819137944456</v>
      </c>
      <c r="C25">
        <f>LINEST(LOG(C18:C23),A18:A23,TRUE,TRUE)</f>
        <v>0.08466076726344965</v>
      </c>
      <c r="D25">
        <f>LINEST(LOG(K18:K23),A18:A23,TRUE,TRUE)</f>
        <v>0.021189299065934475</v>
      </c>
    </row>
    <row r="26" spans="2:4" ht="12.75">
      <c r="B26">
        <f>INTERCEPT(LOG(B18:B23),A18:A23)</f>
        <v>-102.73456029652365</v>
      </c>
      <c r="C26">
        <f>INTERCEPT(LOG(C18:C23),A18:A23)</f>
        <v>-169.38815244498826</v>
      </c>
      <c r="D26">
        <f>INTERCEPT(LOG(K18:K23),A18:A23)</f>
        <v>-42.08194795287779</v>
      </c>
    </row>
    <row r="27" ht="12.75">
      <c r="A27">
        <f>10^(A$25*A18+B$26)</f>
        <v>3.2116476303040304</v>
      </c>
    </row>
    <row r="28" spans="1:4" ht="12.75">
      <c r="A28">
        <f>10^(B$25*A19+B$26)</f>
        <v>3.6176461026251028</v>
      </c>
      <c r="B28" s="8">
        <f>10^(B25)-1</f>
        <v>0.12641439366304952</v>
      </c>
      <c r="C28" s="8">
        <f>10^(C25)-1</f>
        <v>0.21523639379547732</v>
      </c>
      <c r="D28" s="8">
        <f>10^(D25)-1</f>
        <v>0.049999999990320454</v>
      </c>
    </row>
    <row r="29" spans="1:3" ht="12.75">
      <c r="A29">
        <f>10^(B$25*A20+B$26)</f>
        <v>4.074968641175943</v>
      </c>
      <c r="C29" s="1"/>
    </row>
    <row r="30" spans="1:3" ht="12.75">
      <c r="A30">
        <f>10^(B$25*A21+B$26)</f>
        <v>4.590103331146135</v>
      </c>
      <c r="C30" s="1">
        <f>(C$25)*A18+C$26</f>
        <v>-0.3206002198793101</v>
      </c>
    </row>
    <row r="31" spans="1:3" ht="12.75">
      <c r="A31">
        <f>10^(B$25*A22+B$26)</f>
        <v>5.170358460603708</v>
      </c>
      <c r="C31" s="1">
        <f>C$25*A19+C$26</f>
        <v>-0.23593945261586668</v>
      </c>
    </row>
    <row r="32" spans="1:3" ht="12.75">
      <c r="A32">
        <f>10^(B$25*A23+B$26)</f>
        <v>5.823966190421536</v>
      </c>
      <c r="C32" s="1">
        <f>C$25*A20+C$26</f>
        <v>-0.15127868535242328</v>
      </c>
    </row>
    <row r="33" ht="12.75">
      <c r="C33" s="1">
        <f>C$25*A21+C$26</f>
        <v>-0.06661791808897988</v>
      </c>
    </row>
    <row r="34" ht="12.75">
      <c r="C34" s="1">
        <f>C$25*A22+C$26</f>
        <v>0.01804284917449195</v>
      </c>
    </row>
    <row r="35" ht="12.75">
      <c r="C35" s="1">
        <f>C$25*A23+C$26</f>
        <v>0.10270361643793535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</sheetData>
  <mergeCells count="1">
    <mergeCell ref="D5:E5"/>
  </mergeCells>
  <printOptions/>
  <pageMargins left="0.75" right="0.75" top="1" bottom="1" header="0.5" footer="0.5"/>
  <pageSetup fitToHeight="1" fitToWidth="1"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140625" style="0" customWidth="1"/>
    <col min="2" max="2" width="7.8515625" style="0" customWidth="1"/>
    <col min="3" max="3" width="10.28125" style="0" customWidth="1"/>
    <col min="4" max="4" width="8.8515625" style="0" customWidth="1"/>
    <col min="5" max="6" width="8.7109375" style="0" customWidth="1"/>
    <col min="7" max="7" width="9.28125" style="0" customWidth="1"/>
    <col min="8" max="10" width="8.7109375" style="0" customWidth="1"/>
    <col min="11" max="14" width="9.7109375" style="0" bestFit="1" customWidth="1"/>
    <col min="15" max="15" width="9.7109375" style="0" customWidth="1"/>
    <col min="16" max="16" width="10.421875" style="0" customWidth="1"/>
  </cols>
  <sheetData>
    <row r="1" spans="1:7" ht="18">
      <c r="A1" s="6" t="s">
        <v>27</v>
      </c>
      <c r="F1" s="5" t="s">
        <v>1</v>
      </c>
      <c r="G1" t="s">
        <v>118</v>
      </c>
    </row>
    <row r="2" spans="1:7" ht="12.75">
      <c r="A2" t="s">
        <v>25</v>
      </c>
      <c r="F2" s="5" t="s">
        <v>2</v>
      </c>
      <c r="G2" t="s">
        <v>114</v>
      </c>
    </row>
    <row r="3" spans="1:7" ht="12.75">
      <c r="A3" t="s">
        <v>28</v>
      </c>
      <c r="F3" s="5" t="s">
        <v>3</v>
      </c>
      <c r="G3" s="61">
        <v>37639</v>
      </c>
    </row>
    <row r="5" ht="12.75">
      <c r="A5" t="s">
        <v>39</v>
      </c>
    </row>
    <row r="6" ht="12.75">
      <c r="P6" s="11" t="s">
        <v>45</v>
      </c>
    </row>
    <row r="7" spans="4:16" ht="12.75">
      <c r="D7" s="5" t="s">
        <v>30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1998</v>
      </c>
      <c r="L7">
        <v>1999</v>
      </c>
      <c r="M7">
        <v>2000</v>
      </c>
      <c r="N7">
        <v>2001</v>
      </c>
      <c r="O7">
        <v>2002</v>
      </c>
      <c r="P7" s="11" t="s">
        <v>46</v>
      </c>
    </row>
    <row r="8" spans="4:16" ht="12.75">
      <c r="D8" s="5" t="s">
        <v>112</v>
      </c>
      <c r="E8" s="71">
        <v>1093.5</v>
      </c>
      <c r="F8" s="71">
        <v>1179.8</v>
      </c>
      <c r="G8" s="71">
        <v>1298.4</v>
      </c>
      <c r="H8" s="71">
        <v>1554.2</v>
      </c>
      <c r="I8" s="62">
        <v>1929</v>
      </c>
      <c r="J8" s="62">
        <v>2213</v>
      </c>
      <c r="K8" s="62">
        <v>2633.6</v>
      </c>
      <c r="L8" s="62">
        <v>3393.2</v>
      </c>
      <c r="M8" s="62">
        <v>6495</v>
      </c>
      <c r="N8" s="62">
        <v>8349.5</v>
      </c>
      <c r="O8" s="62">
        <v>8350.5</v>
      </c>
      <c r="P8" s="62">
        <f>AVERAGE(K8:O8)</f>
        <v>5844.36</v>
      </c>
    </row>
    <row r="9" spans="4:16" ht="12.75">
      <c r="D9" s="5" t="s">
        <v>111</v>
      </c>
      <c r="E9" s="72">
        <v>0.286</v>
      </c>
      <c r="F9" s="72">
        <v>0.263</v>
      </c>
      <c r="G9" s="72">
        <v>0.3</v>
      </c>
      <c r="H9" s="72">
        <v>0.321</v>
      </c>
      <c r="I9" s="26">
        <v>0.31</v>
      </c>
      <c r="J9" s="26">
        <v>0.28</v>
      </c>
      <c r="K9" s="26">
        <v>0.248</v>
      </c>
      <c r="L9" s="26">
        <v>0.286</v>
      </c>
      <c r="M9" s="26">
        <v>0.281</v>
      </c>
      <c r="N9" s="26">
        <v>0.252</v>
      </c>
      <c r="O9" s="26">
        <v>0.25</v>
      </c>
      <c r="P9" s="64"/>
    </row>
    <row r="10" spans="4:16" ht="12.75">
      <c r="D10" s="5" t="s">
        <v>41</v>
      </c>
      <c r="E10" s="62">
        <f aca="true" t="shared" si="0" ref="E10:O10">E8/(1-E9)</f>
        <v>1531.512605042017</v>
      </c>
      <c r="F10" s="62">
        <f t="shared" si="0"/>
        <v>1600.8141112618723</v>
      </c>
      <c r="G10" s="62">
        <f t="shared" si="0"/>
        <v>1854.8571428571431</v>
      </c>
      <c r="H10" s="62">
        <f t="shared" si="0"/>
        <v>2288.9543446244475</v>
      </c>
      <c r="I10" s="62">
        <f t="shared" si="0"/>
        <v>2795.6521739130435</v>
      </c>
      <c r="J10" s="62">
        <f>J8/(1-J9)</f>
        <v>3073.6111111111113</v>
      </c>
      <c r="K10" s="62">
        <f t="shared" si="0"/>
        <v>3502.127659574468</v>
      </c>
      <c r="L10" s="62">
        <f t="shared" si="0"/>
        <v>4752.380952380952</v>
      </c>
      <c r="M10" s="62">
        <f t="shared" si="0"/>
        <v>9033.379694019472</v>
      </c>
      <c r="N10" s="62">
        <f t="shared" si="0"/>
        <v>11162.433155080214</v>
      </c>
      <c r="O10" s="62">
        <f t="shared" si="0"/>
        <v>11134</v>
      </c>
      <c r="P10" s="62">
        <f aca="true" t="shared" si="1" ref="P10:P15">AVERAGE(K10:O10)</f>
        <v>7916.864292211021</v>
      </c>
    </row>
    <row r="11" spans="4:18" ht="12.75">
      <c r="D11" s="5" t="s">
        <v>31</v>
      </c>
      <c r="E11" s="71">
        <v>7230.2</v>
      </c>
      <c r="F11" s="74">
        <v>7477.7</v>
      </c>
      <c r="G11" s="71">
        <v>8281.3</v>
      </c>
      <c r="H11" s="71">
        <v>10021</v>
      </c>
      <c r="I11" s="62">
        <v>11306</v>
      </c>
      <c r="J11" s="62">
        <v>12504</v>
      </c>
      <c r="K11" s="62">
        <v>13544</v>
      </c>
      <c r="L11" s="62">
        <v>16204</v>
      </c>
      <c r="M11" s="62">
        <v>29574</v>
      </c>
      <c r="N11" s="62">
        <v>32259</v>
      </c>
      <c r="O11" s="62">
        <v>35155</v>
      </c>
      <c r="P11" s="62">
        <f t="shared" si="1"/>
        <v>25347.2</v>
      </c>
      <c r="Q11" s="63"/>
      <c r="R11" s="63"/>
    </row>
    <row r="12" spans="2:16" ht="12.75">
      <c r="B12" s="16" t="s">
        <v>40</v>
      </c>
      <c r="C12" s="16"/>
      <c r="E12" s="65">
        <f>IF(E11=0,"-",E10/E11)</f>
        <v>0.21182161005809202</v>
      </c>
      <c r="F12" s="65">
        <f aca="true" t="shared" si="2" ref="F12:O12">IF(F11=0,"-",F10/F11)</f>
        <v>0.214078407967941</v>
      </c>
      <c r="G12" s="65">
        <f t="shared" si="2"/>
        <v>0.2239813969856355</v>
      </c>
      <c r="H12" s="65">
        <f t="shared" si="2"/>
        <v>0.22841576136358122</v>
      </c>
      <c r="I12" s="65">
        <f t="shared" si="2"/>
        <v>0.2472715526192326</v>
      </c>
      <c r="J12" s="65">
        <f t="shared" si="2"/>
        <v>0.24581022961541196</v>
      </c>
      <c r="K12" s="65">
        <f t="shared" si="2"/>
        <v>0.25857410363071975</v>
      </c>
      <c r="L12" s="65">
        <f t="shared" si="2"/>
        <v>0.293284433003021</v>
      </c>
      <c r="M12" s="65">
        <f t="shared" si="2"/>
        <v>0.30545004713665624</v>
      </c>
      <c r="N12" s="65">
        <f t="shared" si="2"/>
        <v>0.3460253930710876</v>
      </c>
      <c r="O12" s="65">
        <f t="shared" si="2"/>
        <v>0.31671170530507753</v>
      </c>
      <c r="P12" s="66">
        <f t="shared" si="1"/>
        <v>0.3040091364293124</v>
      </c>
    </row>
    <row r="13" spans="4:16" ht="12.75">
      <c r="D13" s="5" t="s">
        <v>42</v>
      </c>
      <c r="E13" s="73">
        <v>0.27</v>
      </c>
      <c r="F13" s="75">
        <v>0.31</v>
      </c>
      <c r="G13" s="73">
        <v>0.35</v>
      </c>
      <c r="H13" s="73">
        <v>0.41</v>
      </c>
      <c r="I13" s="12">
        <v>0.5</v>
      </c>
      <c r="J13" s="12">
        <v>0.57</v>
      </c>
      <c r="K13" s="12">
        <v>0.67</v>
      </c>
      <c r="L13" s="12">
        <v>0.87</v>
      </c>
      <c r="M13" s="12">
        <v>1.02</v>
      </c>
      <c r="N13" s="12">
        <v>1.31</v>
      </c>
      <c r="O13" s="12">
        <v>1.58</v>
      </c>
      <c r="P13" s="12">
        <f t="shared" si="1"/>
        <v>1.09</v>
      </c>
    </row>
    <row r="14" spans="4:16" ht="12.75">
      <c r="D14" s="5" t="s">
        <v>43</v>
      </c>
      <c r="E14" s="73">
        <v>1.21</v>
      </c>
      <c r="F14" s="75">
        <v>1</v>
      </c>
      <c r="G14" s="73">
        <v>1.15</v>
      </c>
      <c r="H14" s="73">
        <v>1.44</v>
      </c>
      <c r="I14" s="12">
        <v>1.8</v>
      </c>
      <c r="J14" s="12">
        <v>2.04</v>
      </c>
      <c r="K14" s="12">
        <v>2.27</v>
      </c>
      <c r="L14" s="12">
        <v>2.31</v>
      </c>
      <c r="M14" s="12">
        <v>2.55</v>
      </c>
      <c r="N14" s="12">
        <v>2.91</v>
      </c>
      <c r="O14" s="12">
        <v>3.4</v>
      </c>
      <c r="P14" s="12">
        <f t="shared" si="1"/>
        <v>2.6879999999999997</v>
      </c>
    </row>
    <row r="15" spans="2:16" ht="12.75">
      <c r="B15" s="16" t="s">
        <v>44</v>
      </c>
      <c r="C15" s="16"/>
      <c r="E15" s="65">
        <f>IF(E14=0,"-",E13/E14)</f>
        <v>0.22314049586776863</v>
      </c>
      <c r="F15" s="65">
        <f aca="true" t="shared" si="3" ref="F15:O15">IF(F14=0,"-",F13/F14)</f>
        <v>0.31</v>
      </c>
      <c r="G15" s="65">
        <f t="shared" si="3"/>
        <v>0.30434782608695654</v>
      </c>
      <c r="H15" s="65">
        <f t="shared" si="3"/>
        <v>0.2847222222222222</v>
      </c>
      <c r="I15" s="65">
        <f t="shared" si="3"/>
        <v>0.2777777777777778</v>
      </c>
      <c r="J15" s="65">
        <f t="shared" si="3"/>
        <v>0.2794117647058823</v>
      </c>
      <c r="K15" s="65">
        <f t="shared" si="3"/>
        <v>0.29515418502202645</v>
      </c>
      <c r="L15" s="65">
        <f t="shared" si="3"/>
        <v>0.37662337662337664</v>
      </c>
      <c r="M15" s="65">
        <f t="shared" si="3"/>
        <v>0.4</v>
      </c>
      <c r="N15" s="65">
        <f t="shared" si="3"/>
        <v>0.45017182130584193</v>
      </c>
      <c r="O15" s="65">
        <f t="shared" si="3"/>
        <v>0.4647058823529412</v>
      </c>
      <c r="P15" s="66">
        <f t="shared" si="1"/>
        <v>0.3973310530608372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13" t="s">
        <v>96</v>
      </c>
      <c r="B18" s="13"/>
      <c r="C18" s="13"/>
      <c r="D18" s="13"/>
      <c r="E18" s="13"/>
      <c r="F18" s="13"/>
      <c r="G18" s="13"/>
      <c r="H18" s="13"/>
    </row>
    <row r="19" spans="1:10" ht="12.75">
      <c r="A19" s="13"/>
      <c r="B19" s="31"/>
      <c r="C19" s="87" t="s">
        <v>97</v>
      </c>
      <c r="D19" s="88"/>
      <c r="E19" s="39" t="s">
        <v>100</v>
      </c>
      <c r="F19" s="35" t="s">
        <v>102</v>
      </c>
      <c r="G19" s="36"/>
      <c r="H19" s="37" t="s">
        <v>103</v>
      </c>
      <c r="I19" s="39" t="s">
        <v>104</v>
      </c>
      <c r="J19" s="32" t="s">
        <v>105</v>
      </c>
    </row>
    <row r="20" spans="1:10" ht="12.75">
      <c r="A20" s="13"/>
      <c r="B20" s="33" t="s">
        <v>30</v>
      </c>
      <c r="C20" s="41" t="s">
        <v>98</v>
      </c>
      <c r="D20" s="41" t="s">
        <v>99</v>
      </c>
      <c r="E20" s="40" t="s">
        <v>101</v>
      </c>
      <c r="F20" s="41" t="s">
        <v>98</v>
      </c>
      <c r="G20" s="10" t="s">
        <v>99</v>
      </c>
      <c r="H20" s="38" t="s">
        <v>101</v>
      </c>
      <c r="I20" s="40"/>
      <c r="J20" s="34" t="s">
        <v>106</v>
      </c>
    </row>
    <row r="21" spans="1:10" ht="12.75">
      <c r="A21" s="13"/>
      <c r="B21" s="42">
        <v>1998</v>
      </c>
      <c r="C21" s="48">
        <v>43</v>
      </c>
      <c r="D21" s="45">
        <v>23.7</v>
      </c>
      <c r="E21" s="45">
        <f>K13</f>
        <v>0.67</v>
      </c>
      <c r="F21" s="51">
        <f>IF(E21&gt;0,C21/E21,"-")</f>
        <v>64.17910447761194</v>
      </c>
      <c r="G21" s="51">
        <f>IF(E21&gt;0,D21/E21,"-")</f>
        <v>35.373134328358205</v>
      </c>
      <c r="H21" s="46">
        <v>0.25</v>
      </c>
      <c r="I21" s="52">
        <f>IF(E21&gt;0,H21/E21,"-")</f>
        <v>0.3731343283582089</v>
      </c>
      <c r="J21" s="69">
        <f>IF(D21&gt;0,H21/D21,"-")</f>
        <v>0.010548523206751054</v>
      </c>
    </row>
    <row r="22" spans="1:10" ht="12.75">
      <c r="A22" s="13"/>
      <c r="B22" s="42">
        <v>1999</v>
      </c>
      <c r="C22" s="47">
        <v>50</v>
      </c>
      <c r="D22" s="46">
        <v>31.5</v>
      </c>
      <c r="E22" s="46">
        <f>L13</f>
        <v>0.87</v>
      </c>
      <c r="F22" s="49">
        <f>IF(E22&gt;0,C22/E22,"-")</f>
        <v>57.47126436781609</v>
      </c>
      <c r="G22" s="50">
        <f>IF(E22&gt;0,D22/E22,"-")</f>
        <v>36.206896551724135</v>
      </c>
      <c r="H22" s="46">
        <v>0.31</v>
      </c>
      <c r="I22" s="52">
        <f>IF(E22&gt;0,H22/E22,"-")</f>
        <v>0.3563218390804598</v>
      </c>
      <c r="J22" s="53">
        <f>IF(D22&gt;0,H22/D22,"-")</f>
        <v>0.009841269841269842</v>
      </c>
    </row>
    <row r="23" spans="1:10" ht="12.75">
      <c r="A23" s="13"/>
      <c r="B23" s="42">
        <v>2000</v>
      </c>
      <c r="C23" s="47">
        <v>49.3</v>
      </c>
      <c r="D23" s="46">
        <v>30</v>
      </c>
      <c r="E23" s="46">
        <f>M13</f>
        <v>1.02</v>
      </c>
      <c r="F23" s="49">
        <f>IF(E23&gt;0,C23/E23,"-")</f>
        <v>48.33333333333333</v>
      </c>
      <c r="G23" s="49">
        <f>IF(E23&gt;0,D23/E23,"-")</f>
        <v>29.41176470588235</v>
      </c>
      <c r="H23" s="46">
        <v>0.36</v>
      </c>
      <c r="I23" s="52">
        <f>IF(E23&gt;0,H23/E23,"-")</f>
        <v>0.3529411764705882</v>
      </c>
      <c r="J23" s="53">
        <f>IF(D23&gt;0,H23/D23,"-")</f>
        <v>0.012</v>
      </c>
    </row>
    <row r="24" spans="1:10" ht="12.75">
      <c r="A24" s="13"/>
      <c r="B24" s="42">
        <v>2001</v>
      </c>
      <c r="C24" s="47">
        <v>46.8</v>
      </c>
      <c r="D24" s="46">
        <v>34</v>
      </c>
      <c r="E24" s="46">
        <f>N13</f>
        <v>1.31</v>
      </c>
      <c r="F24" s="49">
        <f>IF(E24&gt;0,C24/E24,"-")</f>
        <v>35.725190839694655</v>
      </c>
      <c r="G24" s="49">
        <f>IF(E24&gt;0,D24/E24,"-")</f>
        <v>25.954198473282442</v>
      </c>
      <c r="H24" s="46">
        <v>0.44</v>
      </c>
      <c r="I24" s="52">
        <f>IF(E24&gt;0,H24/E24,"-")</f>
        <v>0.33587786259541985</v>
      </c>
      <c r="J24" s="53">
        <f>IF(D24&gt;0,H24/D24,"-")</f>
        <v>0.012941176470588235</v>
      </c>
    </row>
    <row r="25" spans="1:10" ht="12.75">
      <c r="A25" s="13"/>
      <c r="B25" s="42">
        <v>2002</v>
      </c>
      <c r="C25" s="70">
        <v>42.5</v>
      </c>
      <c r="D25" s="22">
        <v>25.1</v>
      </c>
      <c r="E25" s="22">
        <f>O13</f>
        <v>1.58</v>
      </c>
      <c r="F25" s="49">
        <f>IF(E25&gt;0,C25/E25,"-")</f>
        <v>26.89873417721519</v>
      </c>
      <c r="G25" s="49">
        <f>IF(E25&gt;0,D25/E25,"-")</f>
        <v>15.886075949367088</v>
      </c>
      <c r="H25" s="22">
        <v>0.52</v>
      </c>
      <c r="I25" s="52">
        <f>IF(E25&gt;0,H25/E25,"-")</f>
        <v>0.3291139240506329</v>
      </c>
      <c r="J25" s="53">
        <f>IF(D25&gt;0,H25/D25,"-")</f>
        <v>0.020717131474103586</v>
      </c>
    </row>
    <row r="26" spans="1:10" ht="12.75">
      <c r="A26" s="13"/>
      <c r="B26" s="42" t="s">
        <v>107</v>
      </c>
      <c r="C26" s="57">
        <f aca="true" t="shared" si="4" ref="C26:J26">SUM(C21:C25)</f>
        <v>231.60000000000002</v>
      </c>
      <c r="D26" s="54">
        <f t="shared" si="4"/>
        <v>144.3</v>
      </c>
      <c r="E26" s="58">
        <f t="shared" si="4"/>
        <v>5.45</v>
      </c>
      <c r="F26" s="55">
        <f t="shared" si="4"/>
        <v>232.60762719567117</v>
      </c>
      <c r="G26" s="55">
        <f t="shared" si="4"/>
        <v>142.83207000861424</v>
      </c>
      <c r="H26" s="58">
        <f t="shared" si="4"/>
        <v>1.8800000000000001</v>
      </c>
      <c r="I26" s="56">
        <f t="shared" si="4"/>
        <v>1.7473891305553098</v>
      </c>
      <c r="J26" s="60">
        <f t="shared" si="4"/>
        <v>0.06604810099271272</v>
      </c>
    </row>
    <row r="27" spans="1:10" ht="12.75">
      <c r="A27" s="13"/>
      <c r="B27" s="39" t="s">
        <v>108</v>
      </c>
      <c r="C27" s="57">
        <f>AVERAGE(C21:C25)</f>
        <v>46.32000000000001</v>
      </c>
      <c r="D27" s="54">
        <f>AVERAGE(D21:D25)</f>
        <v>28.860000000000003</v>
      </c>
      <c r="E27" s="58">
        <f>AVERAGE(E21:E25)</f>
        <v>1.09</v>
      </c>
      <c r="F27" s="55">
        <f>AVERAGE(F21:F25)</f>
        <v>46.52152543913424</v>
      </c>
      <c r="G27" s="55">
        <f>AVERAGE(G21:G25)</f>
        <v>28.566414001722848</v>
      </c>
      <c r="H27" s="59"/>
      <c r="I27" s="56">
        <f>AVERAGE(I21:I25)</f>
        <v>0.34947782611106193</v>
      </c>
      <c r="J27" s="60">
        <f>AVERAGE(J21:J25)</f>
        <v>0.013209620198542544</v>
      </c>
    </row>
    <row r="28" spans="1:8" ht="12.75">
      <c r="A28" s="13"/>
      <c r="B28" s="35" t="s">
        <v>109</v>
      </c>
      <c r="C28" s="44"/>
      <c r="D28" s="68">
        <f>AVERAGE(F27:G27)</f>
        <v>37.54396972042854</v>
      </c>
      <c r="E28" s="13"/>
      <c r="F28" s="43" t="s">
        <v>110</v>
      </c>
      <c r="G28" s="44"/>
      <c r="H28" s="38">
        <v>21.86</v>
      </c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ht="12.75">
      <c r="G31" s="1"/>
    </row>
    <row r="32" spans="1:7" ht="12.75">
      <c r="A32" t="s">
        <v>48</v>
      </c>
      <c r="G32" s="2"/>
    </row>
    <row r="34" spans="2:7" ht="12.75">
      <c r="B34" t="s">
        <v>47</v>
      </c>
      <c r="G34" s="3"/>
    </row>
    <row r="35" spans="3:10" ht="12.75">
      <c r="C35" t="s">
        <v>49</v>
      </c>
      <c r="E35" s="67">
        <f>F27</f>
        <v>46.52152543913424</v>
      </c>
      <c r="F35" t="s">
        <v>50</v>
      </c>
      <c r="H35" s="17">
        <f>1.58*(1.1)^5</f>
        <v>2.544605800000001</v>
      </c>
      <c r="I35" s="18" t="s">
        <v>51</v>
      </c>
      <c r="J35" s="20">
        <f>E35*H35</f>
        <v>118.37894345726858</v>
      </c>
    </row>
    <row r="37" ht="12.75">
      <c r="B37" t="s">
        <v>52</v>
      </c>
    </row>
    <row r="38" spans="3:10" ht="12.75">
      <c r="C38" t="s">
        <v>53</v>
      </c>
      <c r="E38" s="67">
        <f>G27</f>
        <v>28.566414001722848</v>
      </c>
      <c r="F38" t="s">
        <v>54</v>
      </c>
      <c r="H38" s="17">
        <f>1.58*(1)^5</f>
        <v>1.58</v>
      </c>
      <c r="I38" s="18" t="s">
        <v>51</v>
      </c>
      <c r="J38" s="20">
        <f>E38*H38</f>
        <v>45.1349341227221</v>
      </c>
    </row>
    <row r="39" ht="12.75">
      <c r="F39" s="1"/>
    </row>
    <row r="40" spans="3:6" ht="12.75">
      <c r="C40" t="s">
        <v>55</v>
      </c>
      <c r="F40" s="21">
        <f>D27</f>
        <v>28.860000000000003</v>
      </c>
    </row>
    <row r="41" ht="12.75">
      <c r="F41" s="1"/>
    </row>
    <row r="42" spans="3:7" ht="12.75">
      <c r="C42" t="s">
        <v>56</v>
      </c>
      <c r="G42" s="21">
        <v>25.1</v>
      </c>
    </row>
    <row r="43" ht="12.75">
      <c r="F43" s="1"/>
    </row>
    <row r="44" spans="3:11" ht="12.75">
      <c r="C44" t="s">
        <v>57</v>
      </c>
      <c r="F44" s="84" t="s">
        <v>58</v>
      </c>
      <c r="G44" s="84"/>
      <c r="H44" s="11" t="s">
        <v>51</v>
      </c>
      <c r="I44" s="22">
        <v>0.52</v>
      </c>
      <c r="J44" s="11" t="s">
        <v>51</v>
      </c>
      <c r="K44" s="12">
        <f>I44/I45</f>
        <v>25.1</v>
      </c>
    </row>
    <row r="45" spans="6:9" ht="12.75">
      <c r="F45" s="85" t="s">
        <v>59</v>
      </c>
      <c r="G45" s="86"/>
      <c r="I45" s="78">
        <f>MAX(J21:J25)</f>
        <v>0.020717131474103586</v>
      </c>
    </row>
    <row r="46" spans="6:7" ht="12.75">
      <c r="F46" s="1"/>
      <c r="G46" s="1"/>
    </row>
    <row r="47" spans="3:11" ht="12.75">
      <c r="C47" t="s">
        <v>60</v>
      </c>
      <c r="F47" s="79" t="s">
        <v>117</v>
      </c>
      <c r="G47" s="23"/>
      <c r="H47" s="4"/>
      <c r="I47" s="4"/>
      <c r="J47" s="24" t="s">
        <v>51</v>
      </c>
      <c r="K47" s="17">
        <f>K44</f>
        <v>25.1</v>
      </c>
    </row>
    <row r="48" spans="6:7" ht="12.75">
      <c r="F48" s="1"/>
      <c r="G48" s="2"/>
    </row>
    <row r="49" ht="12.75">
      <c r="F49" s="1"/>
    </row>
    <row r="50" spans="2:7" ht="12.75">
      <c r="B50" t="s">
        <v>61</v>
      </c>
      <c r="F50" s="1"/>
      <c r="G50" s="3"/>
    </row>
    <row r="51" spans="1:8" ht="12.75">
      <c r="A51" s="15"/>
      <c r="B51" s="15"/>
      <c r="C51" s="15" t="s">
        <v>62</v>
      </c>
      <c r="D51" s="15"/>
      <c r="E51" s="15"/>
      <c r="F51" s="15"/>
      <c r="G51" s="15"/>
      <c r="H51" s="13"/>
    </row>
    <row r="52" spans="1:8" ht="12.75">
      <c r="A52" s="13"/>
      <c r="B52" s="13"/>
      <c r="C52" s="20">
        <f>J35</f>
        <v>118.37894345726858</v>
      </c>
      <c r="D52" s="24" t="s">
        <v>63</v>
      </c>
      <c r="E52" s="20">
        <f>K47</f>
        <v>25.1</v>
      </c>
      <c r="F52" s="25" t="s">
        <v>51</v>
      </c>
      <c r="G52" s="20">
        <f>C52-E52</f>
        <v>93.27894345726858</v>
      </c>
      <c r="H52" s="13"/>
    </row>
    <row r="54" spans="1:8" ht="12.75">
      <c r="A54" s="13"/>
      <c r="B54" s="13"/>
      <c r="C54" s="13"/>
      <c r="D54" s="13" t="s">
        <v>64</v>
      </c>
      <c r="E54" s="13"/>
      <c r="F54" s="14">
        <f>G52/3</f>
        <v>31.092981152422862</v>
      </c>
      <c r="G54" s="13"/>
      <c r="H54" s="13"/>
    </row>
    <row r="56" spans="3:7" ht="12.75">
      <c r="C56" t="s">
        <v>65</v>
      </c>
      <c r="D56" s="20">
        <f>E52</f>
        <v>25.1</v>
      </c>
      <c r="E56" s="11" t="s">
        <v>66</v>
      </c>
      <c r="F56" s="20">
        <f>D56+$F$54</f>
        <v>56.19298115242286</v>
      </c>
      <c r="G56" t="s">
        <v>69</v>
      </c>
    </row>
    <row r="58" spans="3:7" ht="12.75">
      <c r="C58" t="s">
        <v>68</v>
      </c>
      <c r="D58" s="20">
        <f>F56</f>
        <v>56.19298115242286</v>
      </c>
      <c r="E58" s="11" t="s">
        <v>66</v>
      </c>
      <c r="F58" s="20">
        <f>D58+$F$54</f>
        <v>87.28596230484573</v>
      </c>
      <c r="G58" t="s">
        <v>70</v>
      </c>
    </row>
    <row r="60" spans="3:7" ht="12.75">
      <c r="C60" t="s">
        <v>67</v>
      </c>
      <c r="D60" s="20">
        <f>F58</f>
        <v>87.28596230484573</v>
      </c>
      <c r="E60" s="11" t="s">
        <v>66</v>
      </c>
      <c r="F60" s="20">
        <f>D60+$F$54</f>
        <v>118.37894345726859</v>
      </c>
      <c r="G60" t="s">
        <v>71</v>
      </c>
    </row>
    <row r="62" spans="3:8" ht="12.75">
      <c r="C62" t="s">
        <v>72</v>
      </c>
      <c r="E62" s="20">
        <v>30.04</v>
      </c>
      <c r="F62" s="11" t="s">
        <v>73</v>
      </c>
      <c r="G62" s="76" t="s">
        <v>113</v>
      </c>
      <c r="H62" t="s">
        <v>74</v>
      </c>
    </row>
    <row r="64" ht="12.75">
      <c r="B64" t="s">
        <v>75</v>
      </c>
    </row>
    <row r="65" spans="3:9" ht="12.75">
      <c r="C65" s="4" t="s">
        <v>76</v>
      </c>
      <c r="D65" s="4"/>
      <c r="E65" s="11" t="s">
        <v>51</v>
      </c>
      <c r="F65" s="20">
        <f>J35-E62</f>
        <v>88.33894345726858</v>
      </c>
      <c r="G65" s="11" t="s">
        <v>51</v>
      </c>
      <c r="H65" s="9">
        <f>F65/F66</f>
        <v>17.882377218070573</v>
      </c>
      <c r="I65" t="s">
        <v>78</v>
      </c>
    </row>
    <row r="66" spans="3:6" ht="12.75">
      <c r="C66" t="s">
        <v>77</v>
      </c>
      <c r="E66" s="11"/>
      <c r="F66" s="19">
        <f>E62-K47</f>
        <v>4.939999999999998</v>
      </c>
    </row>
    <row r="69" ht="12.75">
      <c r="B69" t="s">
        <v>79</v>
      </c>
    </row>
    <row r="70" spans="3:7" ht="12.75">
      <c r="C70" s="4" t="s">
        <v>33</v>
      </c>
      <c r="D70" s="11" t="s">
        <v>51</v>
      </c>
      <c r="E70" s="20">
        <f>J35</f>
        <v>118.37894345726858</v>
      </c>
      <c r="F70" s="18" t="s">
        <v>81</v>
      </c>
      <c r="G70" s="8">
        <f>(E70/E71-1)</f>
        <v>2.940710501240632</v>
      </c>
    </row>
    <row r="71" spans="3:5" ht="12.75">
      <c r="C71" t="s">
        <v>80</v>
      </c>
      <c r="E71" s="19">
        <f>E62</f>
        <v>30.04</v>
      </c>
    </row>
    <row r="72" spans="1:8" ht="12.75">
      <c r="A72" s="4"/>
      <c r="B72" s="4"/>
      <c r="C72" s="4"/>
      <c r="D72" s="4"/>
      <c r="E72" s="4"/>
      <c r="F72" s="4"/>
      <c r="G72" s="4"/>
      <c r="H72" s="4"/>
    </row>
    <row r="74" ht="12.75">
      <c r="A74" t="s">
        <v>82</v>
      </c>
    </row>
    <row r="75" spans="2:10" ht="12.75">
      <c r="B75" t="s">
        <v>83</v>
      </c>
      <c r="C75" s="4" t="s">
        <v>84</v>
      </c>
      <c r="D75" s="4"/>
      <c r="E75" s="4"/>
      <c r="F75" s="11" t="s">
        <v>51</v>
      </c>
      <c r="G75" s="20">
        <f>I44</f>
        <v>0.52</v>
      </c>
      <c r="H75" s="11" t="s">
        <v>51</v>
      </c>
      <c r="I75" s="26">
        <f>G75/G76</f>
        <v>0.01731025299600533</v>
      </c>
      <c r="J75" t="s">
        <v>86</v>
      </c>
    </row>
    <row r="76" spans="3:10" ht="12.75">
      <c r="C76" t="s">
        <v>85</v>
      </c>
      <c r="G76" s="19">
        <f>E62</f>
        <v>30.04</v>
      </c>
      <c r="J76" s="11" t="s">
        <v>87</v>
      </c>
    </row>
    <row r="77" ht="12.75">
      <c r="J77" s="11" t="s">
        <v>88</v>
      </c>
    </row>
    <row r="79" ht="12.75">
      <c r="B79" t="s">
        <v>89</v>
      </c>
    </row>
    <row r="80" ht="12.75">
      <c r="C80" t="s">
        <v>90</v>
      </c>
    </row>
    <row r="81" spans="3:9" ht="12.75">
      <c r="C81" s="20">
        <v>2</v>
      </c>
      <c r="D81" s="11" t="s">
        <v>91</v>
      </c>
      <c r="E81" s="27">
        <f>J27</f>
        <v>0.013209620198542544</v>
      </c>
      <c r="G81" s="28">
        <f>C81*E81</f>
        <v>0.026419240397085087</v>
      </c>
      <c r="H81" s="11" t="s">
        <v>51</v>
      </c>
      <c r="I81" s="26">
        <f>G81/G82</f>
        <v>0.0008794687216073598</v>
      </c>
    </row>
    <row r="82" ht="12.75">
      <c r="G82" s="19">
        <f>E62</f>
        <v>30.04</v>
      </c>
    </row>
    <row r="83" ht="12.75">
      <c r="B83" t="s">
        <v>92</v>
      </c>
    </row>
    <row r="84" spans="3:9" ht="12.75">
      <c r="C84" s="4" t="s">
        <v>93</v>
      </c>
      <c r="D84" s="4"/>
      <c r="E84" s="4"/>
      <c r="F84" s="11" t="s">
        <v>51</v>
      </c>
      <c r="G84" s="29">
        <f>G70</f>
        <v>2.940710501240632</v>
      </c>
      <c r="H84" s="11" t="s">
        <v>51</v>
      </c>
      <c r="I84" s="26">
        <f>G84/G85</f>
        <v>0.5881421002481264</v>
      </c>
    </row>
    <row r="85" spans="4:7" ht="12.75">
      <c r="D85" s="11">
        <v>5</v>
      </c>
      <c r="G85" s="11">
        <v>5</v>
      </c>
    </row>
    <row r="86" spans="3:9" ht="13.5" thickBot="1">
      <c r="C86" t="s">
        <v>94</v>
      </c>
      <c r="H86" s="11" t="s">
        <v>51</v>
      </c>
      <c r="I86" s="30">
        <f>I81</f>
        <v>0.0008794687216073598</v>
      </c>
    </row>
    <row r="87" spans="3:9" ht="13.5" thickTop="1">
      <c r="C87" t="s">
        <v>95</v>
      </c>
      <c r="H87" s="11" t="s">
        <v>51</v>
      </c>
      <c r="I87" s="26">
        <f>I84+I86</f>
        <v>0.5890215689697338</v>
      </c>
    </row>
  </sheetData>
  <mergeCells count="3">
    <mergeCell ref="F44:G44"/>
    <mergeCell ref="F45:G45"/>
    <mergeCell ref="C19:D19"/>
  </mergeCells>
  <printOptions/>
  <pageMargins left="0.75" right="0.75" top="1" bottom="1" header="0.5" footer="0.5"/>
  <pageSetup fitToHeight="2" fitToWidth="1" horizontalDpi="200" verticalDpi="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Pannevis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van Wijk</dc:creator>
  <cp:keywords/>
  <dc:description/>
  <cp:lastModifiedBy>Tim Park</cp:lastModifiedBy>
  <cp:lastPrinted>2002-07-24T01:43:22Z</cp:lastPrinted>
  <dcterms:created xsi:type="dcterms:W3CDTF">2001-12-13T18:04:23Z</dcterms:created>
  <dcterms:modified xsi:type="dcterms:W3CDTF">2003-01-20T02:02:26Z</dcterms:modified>
  <cp:category/>
  <cp:version/>
  <cp:contentType/>
  <cp:contentStatus/>
</cp:coreProperties>
</file>